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ggrindsted-my.sharepoint.com/personal/klk_gges_dk/Documents/PRIVAT/Privatøkonomi &amp; FIRE/FIRE/"/>
    </mc:Choice>
  </mc:AlternateContent>
  <xr:revisionPtr revIDLastSave="0" documentId="8_{94F5FBF6-4A45-4B39-89D0-3FA5DBEDBF92}" xr6:coauthVersionLast="47" xr6:coauthVersionMax="47" xr10:uidLastSave="{00000000-0000-0000-0000-000000000000}"/>
  <bookViews>
    <workbookView xWindow="-110" yWindow="-110" windowWidth="19420" windowHeight="10560" xr2:uid="{25A3C973-0C3B-412F-B820-89C71DC0378D}"/>
  </bookViews>
  <sheets>
    <sheet name="FIRE efter skat ver. 2.1" sheetId="3" r:id="rId1"/>
    <sheet name="FIRE efter skat ver. 2.0" sheetId="2" r:id="rId2"/>
    <sheet name="FIRE efter skat ver. 1.0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3" l="1"/>
  <c r="J34" i="3"/>
  <c r="J48" i="3"/>
  <c r="I4" i="3"/>
  <c r="K48" i="3"/>
  <c r="I25" i="3"/>
  <c r="I6" i="3"/>
  <c r="B25" i="3" l="1"/>
  <c r="D25" i="3" s="1"/>
  <c r="B24" i="3"/>
  <c r="B22" i="3"/>
  <c r="B21" i="3"/>
  <c r="B19" i="3"/>
  <c r="B18" i="3"/>
  <c r="D18" i="3" s="1"/>
  <c r="B15" i="3"/>
  <c r="B14" i="3"/>
  <c r="B13" i="3"/>
  <c r="C13" i="3" s="1"/>
  <c r="B11" i="3"/>
  <c r="B10" i="3"/>
  <c r="B9" i="3"/>
  <c r="C9" i="3" s="1"/>
  <c r="B7" i="3"/>
  <c r="C6" i="3"/>
  <c r="I24" i="3"/>
  <c r="I15" i="3"/>
  <c r="I14" i="3"/>
  <c r="H13" i="3"/>
  <c r="H10" i="3"/>
  <c r="H25" i="3"/>
  <c r="H24" i="3"/>
  <c r="H22" i="3"/>
  <c r="H21" i="3"/>
  <c r="H15" i="3"/>
  <c r="H14" i="3"/>
  <c r="H11" i="3"/>
  <c r="F25" i="3"/>
  <c r="F24" i="3"/>
  <c r="I22" i="3"/>
  <c r="F22" i="3"/>
  <c r="I21" i="3"/>
  <c r="F21" i="3"/>
  <c r="I19" i="3"/>
  <c r="F19" i="3"/>
  <c r="I18" i="3"/>
  <c r="F18" i="3"/>
  <c r="E18" i="3"/>
  <c r="E21" i="3" s="1"/>
  <c r="F15" i="3"/>
  <c r="F14" i="3"/>
  <c r="F13" i="3"/>
  <c r="I11" i="3"/>
  <c r="F11" i="3"/>
  <c r="I10" i="3"/>
  <c r="F10" i="3"/>
  <c r="I9" i="3"/>
  <c r="F9" i="3"/>
  <c r="I7" i="3"/>
  <c r="F7" i="3"/>
  <c r="F6" i="3"/>
  <c r="E6" i="3"/>
  <c r="E9" i="3" s="1"/>
  <c r="E13" i="3" s="1"/>
  <c r="F4" i="3"/>
  <c r="E4" i="3"/>
  <c r="E7" i="3" s="1"/>
  <c r="E10" i="3" s="1"/>
  <c r="J3" i="3"/>
  <c r="K3" i="3" s="1"/>
  <c r="L3" i="3" s="1"/>
  <c r="E18" i="2"/>
  <c r="E21" i="2" s="1"/>
  <c r="B18" i="2"/>
  <c r="D18" i="2" s="1"/>
  <c r="J3" i="2"/>
  <c r="K3" i="2" s="1"/>
  <c r="L3" i="2" s="1"/>
  <c r="I25" i="2"/>
  <c r="H25" i="2"/>
  <c r="G25" i="2"/>
  <c r="H24" i="2"/>
  <c r="G24" i="2"/>
  <c r="B24" i="2"/>
  <c r="I22" i="2"/>
  <c r="H22" i="2"/>
  <c r="G22" i="2"/>
  <c r="I21" i="2"/>
  <c r="H21" i="2"/>
  <c r="G21" i="2"/>
  <c r="B21" i="2"/>
  <c r="I19" i="2"/>
  <c r="H19" i="2"/>
  <c r="G19" i="2"/>
  <c r="I18" i="2"/>
  <c r="H18" i="2"/>
  <c r="G18" i="2"/>
  <c r="K18" i="2" s="1"/>
  <c r="I15" i="2"/>
  <c r="H15" i="2"/>
  <c r="G15" i="2"/>
  <c r="I14" i="2"/>
  <c r="H14" i="2"/>
  <c r="G14" i="2"/>
  <c r="H13" i="2"/>
  <c r="G13" i="2"/>
  <c r="B13" i="2"/>
  <c r="C13" i="2" s="1"/>
  <c r="I11" i="2"/>
  <c r="H11" i="2"/>
  <c r="G11" i="2"/>
  <c r="I10" i="2"/>
  <c r="H10" i="2"/>
  <c r="G10" i="2"/>
  <c r="I9" i="2"/>
  <c r="H9" i="2"/>
  <c r="G9" i="2"/>
  <c r="B9" i="2"/>
  <c r="C9" i="2" s="1"/>
  <c r="I7" i="2"/>
  <c r="H7" i="2"/>
  <c r="G7" i="2"/>
  <c r="I6" i="2"/>
  <c r="H6" i="2"/>
  <c r="G6" i="2"/>
  <c r="E6" i="2"/>
  <c r="E9" i="2" s="1"/>
  <c r="E13" i="2" s="1"/>
  <c r="B6" i="2"/>
  <c r="C6" i="2" s="1"/>
  <c r="I4" i="2"/>
  <c r="H4" i="2"/>
  <c r="G4" i="2"/>
  <c r="E4" i="2"/>
  <c r="J4" i="2" s="1"/>
  <c r="K4" i="2" s="1"/>
  <c r="B4" i="2"/>
  <c r="B15" i="2" s="1"/>
  <c r="C3" i="2"/>
  <c r="C4" i="2" s="1"/>
  <c r="I12" i="1"/>
  <c r="C12" i="1"/>
  <c r="H14" i="1"/>
  <c r="G14" i="1"/>
  <c r="F14" i="1"/>
  <c r="B14" i="1"/>
  <c r="H13" i="1"/>
  <c r="G13" i="1"/>
  <c r="F13" i="1"/>
  <c r="B13" i="1"/>
  <c r="G12" i="1"/>
  <c r="F12" i="1"/>
  <c r="B12" i="1"/>
  <c r="H10" i="1"/>
  <c r="G10" i="1"/>
  <c r="F10" i="1"/>
  <c r="B10" i="1"/>
  <c r="H9" i="1"/>
  <c r="G9" i="1"/>
  <c r="F9" i="1"/>
  <c r="B9" i="1"/>
  <c r="H8" i="1"/>
  <c r="G8" i="1"/>
  <c r="F8" i="1"/>
  <c r="D8" i="1"/>
  <c r="D12" i="1" s="1"/>
  <c r="C8" i="1"/>
  <c r="C9" i="1" s="1"/>
  <c r="B8" i="1"/>
  <c r="H6" i="1"/>
  <c r="G6" i="1"/>
  <c r="F6" i="1"/>
  <c r="D6" i="1"/>
  <c r="D9" i="1" s="1"/>
  <c r="H5" i="1"/>
  <c r="G5" i="1"/>
  <c r="F5" i="1"/>
  <c r="D5" i="1"/>
  <c r="B5" i="1"/>
  <c r="C5" i="1" s="1"/>
  <c r="H3" i="1"/>
  <c r="I3" i="1" s="1"/>
  <c r="J3" i="1" s="1"/>
  <c r="K3" i="1" s="1"/>
  <c r="G3" i="1"/>
  <c r="F3" i="1"/>
  <c r="D3" i="1"/>
  <c r="B3" i="1"/>
  <c r="B6" i="1" s="1"/>
  <c r="I2" i="1"/>
  <c r="J2" i="1" s="1"/>
  <c r="K2" i="1" s="1"/>
  <c r="C2" i="1"/>
  <c r="C3" i="1" s="1"/>
  <c r="D21" i="3" l="1"/>
  <c r="G35" i="3"/>
  <c r="D24" i="3"/>
  <c r="J24" i="3" s="1"/>
  <c r="J35" i="3"/>
  <c r="K18" i="3"/>
  <c r="L18" i="3" s="1"/>
  <c r="E19" i="3"/>
  <c r="E22" i="3" s="1"/>
  <c r="E25" i="3" s="1"/>
  <c r="K25" i="3" s="1"/>
  <c r="L25" i="3" s="1"/>
  <c r="J4" i="3"/>
  <c r="K4" i="3" s="1"/>
  <c r="L4" i="3" s="1"/>
  <c r="D19" i="3"/>
  <c r="J18" i="3"/>
  <c r="D22" i="3"/>
  <c r="K24" i="3"/>
  <c r="C10" i="3"/>
  <c r="K9" i="3"/>
  <c r="L9" i="3" s="1"/>
  <c r="J9" i="3"/>
  <c r="K21" i="3"/>
  <c r="E14" i="3"/>
  <c r="E11" i="3"/>
  <c r="E15" i="3" s="1"/>
  <c r="K13" i="3"/>
  <c r="L13" i="3" s="1"/>
  <c r="J13" i="3"/>
  <c r="C14" i="3"/>
  <c r="C7" i="3"/>
  <c r="K6" i="3"/>
  <c r="L6" i="3" s="1"/>
  <c r="J6" i="3"/>
  <c r="J21" i="3"/>
  <c r="J18" i="2"/>
  <c r="D21" i="2"/>
  <c r="E24" i="2"/>
  <c r="E19" i="2"/>
  <c r="E22" i="2" s="1"/>
  <c r="J6" i="2"/>
  <c r="J9" i="2"/>
  <c r="B19" i="2"/>
  <c r="D19" i="2" s="1"/>
  <c r="K19" i="2" s="1"/>
  <c r="D24" i="2"/>
  <c r="L18" i="2"/>
  <c r="K6" i="2"/>
  <c r="L6" i="2" s="1"/>
  <c r="B22" i="2"/>
  <c r="D22" i="2" s="1"/>
  <c r="B25" i="2"/>
  <c r="D25" i="2" s="1"/>
  <c r="L4" i="2"/>
  <c r="C10" i="2"/>
  <c r="K9" i="2"/>
  <c r="L9" i="2" s="1"/>
  <c r="C14" i="2"/>
  <c r="K13" i="2"/>
  <c r="L13" i="2" s="1"/>
  <c r="J13" i="2"/>
  <c r="B10" i="2"/>
  <c r="B7" i="2"/>
  <c r="B11" i="2"/>
  <c r="E7" i="2"/>
  <c r="E10" i="2" s="1"/>
  <c r="B14" i="2"/>
  <c r="C7" i="2"/>
  <c r="D10" i="1"/>
  <c r="D14" i="1" s="1"/>
  <c r="D13" i="1"/>
  <c r="I5" i="1"/>
  <c r="C6" i="1"/>
  <c r="J5" i="1"/>
  <c r="K5" i="1" s="1"/>
  <c r="C10" i="1"/>
  <c r="J9" i="1"/>
  <c r="K9" i="1" s="1"/>
  <c r="I9" i="1"/>
  <c r="C13" i="1"/>
  <c r="J12" i="1"/>
  <c r="K12" i="1" s="1"/>
  <c r="I8" i="1"/>
  <c r="J8" i="1"/>
  <c r="K8" i="1" s="1"/>
  <c r="L21" i="3" l="1"/>
  <c r="J49" i="3" s="1"/>
  <c r="J54" i="3" s="1"/>
  <c r="G36" i="3"/>
  <c r="G39" i="3" s="1"/>
  <c r="L24" i="3"/>
  <c r="K49" i="3" s="1"/>
  <c r="K54" i="3" s="1"/>
  <c r="J36" i="3"/>
  <c r="J39" i="3" s="1"/>
  <c r="K19" i="3"/>
  <c r="L19" i="3" s="1"/>
  <c r="J25" i="3"/>
  <c r="K22" i="3"/>
  <c r="L22" i="3" s="1"/>
  <c r="J19" i="3"/>
  <c r="J22" i="3"/>
  <c r="K7" i="3"/>
  <c r="L7" i="3" s="1"/>
  <c r="J7" i="3"/>
  <c r="J14" i="3"/>
  <c r="K14" i="3"/>
  <c r="L14" i="3" s="1"/>
  <c r="C15" i="3"/>
  <c r="K10" i="3"/>
  <c r="L10" i="3" s="1"/>
  <c r="C11" i="3"/>
  <c r="J10" i="3"/>
  <c r="J22" i="2"/>
  <c r="K22" i="2"/>
  <c r="L22" i="2" s="1"/>
  <c r="J7" i="2"/>
  <c r="J21" i="2"/>
  <c r="K21" i="2"/>
  <c r="L21" i="2" s="1"/>
  <c r="K24" i="2"/>
  <c r="L24" i="2" s="1"/>
  <c r="J24" i="2"/>
  <c r="K25" i="2"/>
  <c r="J19" i="2"/>
  <c r="J10" i="2"/>
  <c r="L19" i="2"/>
  <c r="E25" i="2"/>
  <c r="J25" i="2" s="1"/>
  <c r="K7" i="2"/>
  <c r="L7" i="2" s="1"/>
  <c r="E11" i="2"/>
  <c r="E15" i="2" s="1"/>
  <c r="E14" i="2"/>
  <c r="J14" i="2" s="1"/>
  <c r="C15" i="2"/>
  <c r="C11" i="2"/>
  <c r="K10" i="2"/>
  <c r="L10" i="2" s="1"/>
  <c r="I10" i="1"/>
  <c r="J10" i="1"/>
  <c r="K10" i="1" s="1"/>
  <c r="I13" i="1"/>
  <c r="C14" i="1"/>
  <c r="J13" i="1"/>
  <c r="K13" i="1" s="1"/>
  <c r="J6" i="1"/>
  <c r="K6" i="1" s="1"/>
  <c r="I6" i="1"/>
  <c r="G37" i="3" l="1"/>
  <c r="J37" i="3"/>
  <c r="K15" i="3"/>
  <c r="L15" i="3" s="1"/>
  <c r="J15" i="3"/>
  <c r="K11" i="3"/>
  <c r="L11" i="3" s="1"/>
  <c r="J11" i="3"/>
  <c r="L25" i="2"/>
  <c r="K14" i="2"/>
  <c r="L14" i="2" s="1"/>
  <c r="J11" i="2"/>
  <c r="K11" i="2"/>
  <c r="L11" i="2" s="1"/>
  <c r="K15" i="2"/>
  <c r="L15" i="2" s="1"/>
  <c r="J15" i="2"/>
  <c r="J14" i="1"/>
  <c r="K14" i="1" s="1"/>
  <c r="I14" i="1"/>
</calcChain>
</file>

<file path=xl/sharedStrings.xml><?xml version="1.0" encoding="utf-8"?>
<sst xmlns="http://schemas.openxmlformats.org/spreadsheetml/2006/main" count="133" uniqueCount="87">
  <si>
    <t>FIRE efter skat med maksimal udnyttelse af personfradrag  &amp; aktieindkomst-progressionsgrænse (27%/42%) for året 2024</t>
  </si>
  <si>
    <t>Person-fradrag</t>
  </si>
  <si>
    <t>Lønindkomst (personbidrag)
efter AM-bidrag</t>
  </si>
  <si>
    <t>Kapital-indkomst
(personbidrag)</t>
  </si>
  <si>
    <t>Aktieindkomst-progressions-grænse</t>
  </si>
  <si>
    <t>Skat under
progressions-grænsen</t>
  </si>
  <si>
    <t>Ekstra aktie-indkomst</t>
  </si>
  <si>
    <t>Skat over progressions-grænsen</t>
  </si>
  <si>
    <t>Ud-træk</t>
  </si>
  <si>
    <t>Portefølje</t>
  </si>
  <si>
    <t>Udbetalt efter skat pr. år</t>
  </si>
  <si>
    <t>Udbetalt efter skat pr. mdr.</t>
  </si>
  <si>
    <t>Scenarier i kombination af lønindkomst og aktieindkomst</t>
  </si>
  <si>
    <t>Kun aktieindkomst med 27% skat | 1 person</t>
  </si>
  <si>
    <t>Kun aktieindkomst med 27% skat | 2 personer (gift)</t>
  </si>
  <si>
    <t>Arbejde = Personfradrag &amp; 27% aktieskat | 1 person</t>
  </si>
  <si>
    <t>Arbejde = Personfradrag &amp; 27% aktieskat | 2 personer (gift)</t>
  </si>
  <si>
    <t>Arbejde = Personfradrag &amp; 27%/42% aktieskat | 1 person</t>
  </si>
  <si>
    <t>Arbejde = Personfradrag &amp; 27%/42% aktieskat | 2 personer (gift)</t>
  </si>
  <si>
    <t>Scenarier i kombination af kapitalindkomst og aktieindkomst</t>
  </si>
  <si>
    <t>Kapitalindkomst = Personfradrag &amp; 27% aktieskat | 1 person</t>
  </si>
  <si>
    <t>Kapitalindkomst = Personfradrag &amp; 27% aktieskat | 2 personer (gift)</t>
  </si>
  <si>
    <t>Kapitalindkomst = Personfradrag &amp; 27%/42% aktieskat | 1 person</t>
  </si>
  <si>
    <t>Kapitalindkomst = Personfradrag &amp; 27%/42% aktieskat | 2 pers. (gift)</t>
  </si>
  <si>
    <t>Noter</t>
  </si>
  <si>
    <t>Personfradrag, progressionsgrænse og skattesatser er 2024-tal (kan rettes i de grå felter). Ekstra aktieindkomst samt udtræksprocent (de blå felter) kan rettes efter ønske.</t>
  </si>
  <si>
    <t>Der er taget udgangspunkt i 4%-reglen og inflationspåvirkningen indregnet deri. Der er også lavet et scenarie med 3,5% udtræk, og det er muligt at justere på dette.</t>
  </si>
  <si>
    <t>Viderebearbejdning &amp; opdateret af Klaus Kristensen, d. 05/07 2024</t>
  </si>
  <si>
    <t>http://www.kristensen.it</t>
  </si>
  <si>
    <t>http://fire.tantalus.dk</t>
  </si>
  <si>
    <t>Der tages intet ansvar for arkets formler.</t>
  </si>
  <si>
    <t xml:space="preserve">  Årlig udtræk i % af formue + inflation:</t>
  </si>
  <si>
    <t xml:space="preserve">  Der udtrækkes i alt af investeret formue: #</t>
  </si>
  <si>
    <t xml:space="preserve"> pr. år.</t>
  </si>
  <si>
    <t>#</t>
  </si>
  <si>
    <t xml:space="preserve">  Udbetalt efter skat pr. år:</t>
  </si>
  <si>
    <t>-</t>
  </si>
  <si>
    <t xml:space="preserve">  Skat af udtræk fra investeret formue:      =</t>
  </si>
  <si>
    <t>=</t>
  </si>
  <si>
    <t xml:space="preserve">  Gennemsnitlig beskatningsprocent:</t>
  </si>
  <si>
    <t xml:space="preserve">   Bemærk dette gælder for investering der er realisationsbeskattet.</t>
  </si>
  <si>
    <t xml:space="preserve">   ← 99% sandsynlighed for at det lykkedes med 3,5% udtræk fra investeret formue i 50 år.</t>
  </si>
  <si>
    <t xml:space="preserve">   Årlig udtræk i % af formue + derefter reguleret for inflation:</t>
  </si>
  <si>
    <t xml:space="preserve">   Minimum ønsket forbrug pr. mdr. første år og stigende pga. inflation:</t>
  </si>
  <si>
    <t xml:space="preserve">   Faste og variable udgifter pr. mdr i de sidste fem år:</t>
  </si>
  <si>
    <t xml:space="preserve">   Ejendomsværdiskat pr. mdr.:</t>
  </si>
  <si>
    <t xml:space="preserve">   Grundskyld pr. mdr.:</t>
  </si>
  <si>
    <t xml:space="preserve">   Investeringsomkostninger pr. mdr. første år og faldende:</t>
  </si>
  <si>
    <t xml:space="preserve">   Muligt merforbrug pr. mdr. i forhold til de sidste fem år:</t>
  </si>
  <si>
    <t>https://www.kitces.com/blog/the-problem-with-fireing-at-4-and-the-need-for-flexible-spending-rules/</t>
  </si>
  <si>
    <t>Forbrug i begyndelsen 4% pr. år - sålænge man bliver mellem 3 - 5% forbrug pr. år.</t>
  </si>
  <si>
    <t>"Using guardrails to keep FIRE speending in a safe range" (mellem 3% og 5%.  Guardrails = autoværn)</t>
  </si>
  <si>
    <r>
      <t xml:space="preserve">Kommer man under 3% forbrug pr. år af formue </t>
    </r>
    <r>
      <rPr>
        <b/>
        <sz val="9"/>
        <color theme="1"/>
        <rFont val="Verdana"/>
        <family val="2"/>
      </rPr>
      <t>kan</t>
    </r>
    <r>
      <rPr>
        <sz val="9"/>
        <color theme="1"/>
        <rFont val="Verdana"/>
        <family val="2"/>
      </rPr>
      <t xml:space="preserve"> man anvende 10% mere året efter.</t>
    </r>
  </si>
  <si>
    <t>Forbrug af formue justeres med løbende inflation, dvs. beløbet stiger hvert år med inflationen.</t>
  </si>
  <si>
    <r>
      <t xml:space="preserve">Kommer man over 5% forbrug pr. år af formue </t>
    </r>
    <r>
      <rPr>
        <b/>
        <sz val="9"/>
        <color theme="1"/>
        <rFont val="Verdana"/>
        <family val="2"/>
      </rPr>
      <t>skal</t>
    </r>
    <r>
      <rPr>
        <sz val="9"/>
        <color theme="1"/>
        <rFont val="Verdana"/>
        <family val="2"/>
      </rPr>
      <t xml:space="preserve"> man anvende 10% mindre året efter.</t>
    </r>
  </si>
  <si>
    <t>Personfradrag</t>
  </si>
  <si>
    <t>Kapitalindkomst
(personbidrag)</t>
  </si>
  <si>
    <t>Aktieindkomst
Progressionsgrænse</t>
  </si>
  <si>
    <t>Ekstra aktieindkomst</t>
  </si>
  <si>
    <t>Skat under
progressionsgrænsen</t>
  </si>
  <si>
    <t>Skat over progressionsgrænsen</t>
  </si>
  <si>
    <t>Udtræk</t>
  </si>
  <si>
    <t>Aktie 27% skat - 1 person</t>
  </si>
  <si>
    <t>Aktie 27% skat - 2 personer (gift)</t>
  </si>
  <si>
    <t>Arbejde = Personfradrag + 27% aktieskat - 1 person</t>
  </si>
  <si>
    <t>Arbejde = Personfradrag + 27% aktieskat - 2 personer (gift)</t>
  </si>
  <si>
    <t>Arbejde = Personfradrag + 27%/42% aktieskat - 1 person</t>
  </si>
  <si>
    <t>Arbejde = Personfradrag + 27%/42% aktieskat - 2 personer (gift)</t>
  </si>
  <si>
    <t>Kapitalindkomst = Personfradrag + 27% aktieskat - 1 person</t>
  </si>
  <si>
    <t>Kapitalindkomst = Personfradrag + 27% aktieskat - 2 personer (gift)</t>
  </si>
  <si>
    <t>Kapitalindkomst = Personfradrag + 27%/42% aktieskat - 1 person</t>
  </si>
  <si>
    <t>Kapitalindkomst = Personfradrag + 27%/42% aktieskat - 2 personer (gift)</t>
  </si>
  <si>
    <t>Personfradrag, progressionsgrænse og skattesatser er 2021-tal (kan rettes i de grå felter)</t>
  </si>
  <si>
    <t>Ekstra aktieindkomst samt udtræksprocent (de blå felter) kan rettes efter ønske</t>
  </si>
  <si>
    <t>Der tages ingen ansvar for arkets formler</t>
  </si>
  <si>
    <t>Der er taget udgangspunkt i 4%-reglen og inflationspåvirkningen indregnet deri</t>
  </si>
  <si>
    <t>Der er også lavet et scenarie med 5% udtræk og det er muligt at justere på dette</t>
  </si>
  <si>
    <t>Videreudviklet af Jonas Niebling</t>
  </si>
  <si>
    <t>Personfradrag
efter AM-bidrag</t>
  </si>
  <si>
    <t>Personfradrag + 27% aktieskat - 1 person</t>
  </si>
  <si>
    <t>Personfradrag + 27% aktieskat - 2 personer (gift)</t>
  </si>
  <si>
    <t>Personfradrag + 27%/42% aktieskat - 1 person</t>
  </si>
  <si>
    <t>Personfradrag + 27%/42% aktieskat - 2 personer (gift)</t>
  </si>
  <si>
    <t>Personfradrag kan være enten kapitalindkomst eller lønindkomst</t>
  </si>
  <si>
    <t>Pengepugeren</t>
  </si>
  <si>
    <t>https://pengepugeren.dk/beregn-dit-investeringsbehov/</t>
  </si>
  <si>
    <t>Regneark oprettet og udviklet af Jonas Niebling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</si>
</sst>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kr.&quot;\ * #,##0.00_ ;_ &quot;kr.&quot;\ * \-#,##0.00_ ;_ &quot;kr.&quot;\ * &quot;-&quot;??_ ;_ @_ "/>
    <numFmt numFmtId="165" formatCode="_ &quot;kr.&quot;\ * #,##0_ ;_ &quot;kr.&quot;\ * \-#,##0_ ;_ &quot;kr.&quot;\ * &quot;-&quot;??_ ;_ @_ "/>
    <numFmt numFmtId="166" formatCode="_ &quot;kr. &quot;* #,##0_ ;_ &quot;kr. &quot;* \-#,##0_ ;_ &quot;kr. &quot;* \-??_ ;_ @_ "/>
    <numFmt numFmtId="167" formatCode="0.0%"/>
  </numFmts>
  <fonts count="9" x14ac:knownFonts="1">
    <font>
      <sz val="9"/>
      <color theme="1"/>
      <name val="Verdana"/>
      <family val="2"/>
    </font>
    <font>
      <sz val="9"/>
      <color theme="1"/>
      <name val="Verdana"/>
      <family val="2"/>
    </font>
    <font>
      <u/>
      <sz val="9"/>
      <color theme="10"/>
      <name val="Verdana"/>
      <family val="2"/>
    </font>
    <font>
      <b/>
      <sz val="9"/>
      <color theme="1"/>
      <name val="Verdana"/>
      <family val="2"/>
    </font>
    <font>
      <b/>
      <sz val="9"/>
      <color theme="4"/>
      <name val="Verdana"/>
      <family val="2"/>
    </font>
    <font>
      <sz val="11"/>
      <color rgb="FF000000"/>
      <name val="Calibri"/>
      <family val="2"/>
      <charset val="1"/>
    </font>
    <font>
      <u val="singleAccounting"/>
      <sz val="11"/>
      <color rgb="FF000000"/>
      <name val="Calibri"/>
      <family val="2"/>
      <charset val="1"/>
    </font>
    <font>
      <u val="doubleAccounting"/>
      <sz val="11"/>
      <color rgb="FF000000"/>
      <name val="Calibri"/>
      <family val="2"/>
      <charset val="1"/>
    </font>
    <font>
      <u val="doubleAccounting"/>
      <sz val="9"/>
      <color theme="1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8E8E8"/>
        <bgColor rgb="FF000000"/>
      </patternFill>
    </fill>
    <fill>
      <patternFill patternType="solid">
        <fgColor rgb="FFA6C9EC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rgb="FFD9D9D9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 vertical="top" wrapText="1"/>
    </xf>
    <xf numFmtId="165" fontId="0" fillId="2" borderId="0" xfId="1" applyNumberFormat="1" applyFont="1" applyFill="1" applyAlignment="1"/>
    <xf numFmtId="165" fontId="0" fillId="0" borderId="0" xfId="0" applyNumberFormat="1"/>
    <xf numFmtId="165" fontId="0" fillId="0" borderId="0" xfId="1" applyNumberFormat="1" applyFont="1" applyAlignment="1"/>
    <xf numFmtId="9" fontId="0" fillId="2" borderId="0" xfId="0" applyNumberFormat="1" applyFill="1"/>
    <xf numFmtId="9" fontId="0" fillId="0" borderId="0" xfId="0" applyNumberFormat="1"/>
    <xf numFmtId="165" fontId="0" fillId="2" borderId="0" xfId="0" applyNumberFormat="1" applyFill="1"/>
    <xf numFmtId="0" fontId="2" fillId="0" borderId="0" xfId="2"/>
    <xf numFmtId="0" fontId="3" fillId="0" borderId="1" xfId="0" applyFont="1" applyBorder="1"/>
    <xf numFmtId="0" fontId="0" fillId="0" borderId="1" xfId="0" applyBorder="1"/>
    <xf numFmtId="165" fontId="0" fillId="3" borderId="0" xfId="0" applyNumberFormat="1" applyFill="1"/>
    <xf numFmtId="9" fontId="0" fillId="3" borderId="0" xfId="0" applyNumberFormat="1" applyFill="1"/>
    <xf numFmtId="0" fontId="4" fillId="0" borderId="0" xfId="0" applyFont="1" applyAlignment="1">
      <alignment horizontal="left" vertical="top" wrapText="1"/>
    </xf>
    <xf numFmtId="0" fontId="0" fillId="4" borderId="0" xfId="0" applyFill="1"/>
    <xf numFmtId="165" fontId="0" fillId="4" borderId="0" xfId="0" applyNumberFormat="1" applyFill="1"/>
    <xf numFmtId="9" fontId="0" fillId="4" borderId="0" xfId="0" applyNumberFormat="1" applyFill="1"/>
    <xf numFmtId="0" fontId="3" fillId="0" borderId="0" xfId="0" applyFont="1"/>
    <xf numFmtId="0" fontId="5" fillId="0" borderId="0" xfId="0" applyFont="1"/>
    <xf numFmtId="0" fontId="5" fillId="0" borderId="0" xfId="0" quotePrefix="1" applyFont="1" applyAlignment="1">
      <alignment horizontal="right"/>
    </xf>
    <xf numFmtId="166" fontId="5" fillId="5" borderId="0" xfId="0" applyNumberFormat="1" applyFont="1" applyFill="1"/>
    <xf numFmtId="166" fontId="5" fillId="6" borderId="0" xfId="1" applyNumberFormat="1" applyFont="1" applyFill="1" applyBorder="1" applyProtection="1"/>
    <xf numFmtId="166" fontId="6" fillId="6" borderId="0" xfId="1" applyNumberFormat="1" applyFont="1" applyFill="1" applyBorder="1" applyProtection="1"/>
    <xf numFmtId="166" fontId="7" fillId="5" borderId="0" xfId="0" applyNumberFormat="1" applyFont="1" applyFill="1"/>
    <xf numFmtId="166" fontId="6" fillId="5" borderId="0" xfId="0" applyNumberFormat="1" applyFont="1" applyFill="1"/>
    <xf numFmtId="0" fontId="0" fillId="7" borderId="0" xfId="0" applyFill="1"/>
    <xf numFmtId="165" fontId="0" fillId="7" borderId="0" xfId="0" applyNumberFormat="1" applyFill="1"/>
    <xf numFmtId="9" fontId="0" fillId="7" borderId="0" xfId="0" applyNumberFormat="1" applyFill="1"/>
    <xf numFmtId="166" fontId="0" fillId="8" borderId="0" xfId="0" applyNumberFormat="1" applyFill="1"/>
    <xf numFmtId="166" fontId="5" fillId="9" borderId="0" xfId="0" applyNumberFormat="1" applyFont="1" applyFill="1"/>
    <xf numFmtId="166" fontId="8" fillId="10" borderId="0" xfId="0" applyNumberFormat="1" applyFont="1" applyFill="1"/>
    <xf numFmtId="167" fontId="0" fillId="10" borderId="0" xfId="0" applyNumberFormat="1" applyFill="1"/>
    <xf numFmtId="166" fontId="0" fillId="10" borderId="0" xfId="0" applyNumberFormat="1" applyFill="1"/>
    <xf numFmtId="167" fontId="0" fillId="3" borderId="0" xfId="0" applyNumberFormat="1" applyFill="1"/>
    <xf numFmtId="167" fontId="0" fillId="7" borderId="0" xfId="0" applyNumberFormat="1" applyFill="1"/>
    <xf numFmtId="167" fontId="0" fillId="0" borderId="0" xfId="0" applyNumberFormat="1"/>
    <xf numFmtId="167" fontId="0" fillId="0" borderId="1" xfId="0" applyNumberFormat="1" applyBorder="1"/>
    <xf numFmtId="167" fontId="0" fillId="4" borderId="0" xfId="0" applyNumberFormat="1" applyFill="1"/>
    <xf numFmtId="167" fontId="0" fillId="4" borderId="0" xfId="0" applyNumberFormat="1" applyFill="1" applyAlignment="1">
      <alignment horizontal="right"/>
    </xf>
    <xf numFmtId="167" fontId="5" fillId="7" borderId="0" xfId="0" applyNumberFormat="1" applyFont="1" applyFill="1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166" fontId="6" fillId="11" borderId="0" xfId="1" applyNumberFormat="1" applyFont="1" applyFill="1" applyBorder="1" applyProtection="1"/>
  </cellXfs>
  <cellStyles count="3">
    <cellStyle name="Link" xfId="2" builtinId="8"/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148165</xdr:rowOff>
    </xdr:from>
    <xdr:to>
      <xdr:col>3</xdr:col>
      <xdr:colOff>1165</xdr:colOff>
      <xdr:row>56</xdr:row>
      <xdr:rowOff>28220</xdr:rowOff>
    </xdr:to>
    <xdr:pic>
      <xdr:nvPicPr>
        <xdr:cNvPr id="10" name="Billede 9">
          <a:extLst>
            <a:ext uri="{FF2B5EF4-FFF2-40B4-BE49-F238E27FC236}">
              <a16:creationId xmlns:a16="http://schemas.microsoft.com/office/drawing/2014/main" id="{83BEF172-70DD-023B-D2A0-F5ADD1CEA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185832"/>
          <a:ext cx="5744387" cy="37606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22</xdr:row>
      <xdr:rowOff>114300</xdr:rowOff>
    </xdr:from>
    <xdr:to>
      <xdr:col>3</xdr:col>
      <xdr:colOff>667548</xdr:colOff>
      <xdr:row>51</xdr:row>
      <xdr:rowOff>76773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DBD67AB1-0C74-46E9-9BBA-CA376D663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3543300"/>
          <a:ext cx="5715798" cy="4105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itces.com/blog/the-problem-with-fireing-at-4-and-the-need-for-flexible-spending-rules/" TargetMode="External"/><Relationship Id="rId2" Type="http://schemas.openxmlformats.org/officeDocument/2006/relationships/hyperlink" Target="http://fire.tantalus.dk/" TargetMode="External"/><Relationship Id="rId1" Type="http://schemas.openxmlformats.org/officeDocument/2006/relationships/hyperlink" Target="http://www.kristensen.it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pengepugeren.dk/beregn-dit-investeringsbeh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BD6EB-19BF-4762-BE58-C525C6E3D646}">
  <dimension ref="A1:L61"/>
  <sheetViews>
    <sheetView tabSelected="1" zoomScale="90" zoomScaleNormal="90" workbookViewId="0">
      <selection activeCell="K31" sqref="K31"/>
    </sheetView>
  </sheetViews>
  <sheetFormatPr defaultRowHeight="11.5" x14ac:dyDescent="0.25"/>
  <cols>
    <col min="1" max="1" width="58" customWidth="1"/>
    <col min="2" max="2" width="10.453125" customWidth="1"/>
    <col min="3" max="3" width="13.7265625" customWidth="1"/>
    <col min="4" max="4" width="13.08984375" customWidth="1"/>
    <col min="5" max="5" width="13.26953125" customWidth="1"/>
    <col min="6" max="6" width="11.453125" customWidth="1"/>
    <col min="7" max="7" width="11.36328125" customWidth="1"/>
    <col min="8" max="8" width="11.26953125" customWidth="1"/>
    <col min="9" max="9" width="5.453125" customWidth="1"/>
    <col min="10" max="10" width="14.08984375" customWidth="1"/>
    <col min="11" max="11" width="13.36328125" customWidth="1"/>
    <col min="12" max="12" width="11.08984375" customWidth="1"/>
  </cols>
  <sheetData>
    <row r="1" spans="1:12" s="1" customFormat="1" ht="33.75" customHeight="1" x14ac:dyDescent="0.25">
      <c r="A1" s="1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2" thickBot="1" x14ac:dyDescent="0.3">
      <c r="A2" s="9" t="s">
        <v>12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25">
      <c r="A3" t="s">
        <v>13</v>
      </c>
      <c r="B3" s="3"/>
      <c r="C3" s="3"/>
      <c r="D3" s="3"/>
      <c r="E3" s="2">
        <v>61000</v>
      </c>
      <c r="F3" s="5">
        <v>0.27</v>
      </c>
      <c r="G3" s="4"/>
      <c r="H3" s="6"/>
      <c r="I3" s="33">
        <v>3.5000000000000003E-2</v>
      </c>
      <c r="J3" s="3">
        <f>E3/I3</f>
        <v>1742857.1428571427</v>
      </c>
      <c r="K3" s="3">
        <f>J3*I3*(100%-F3)</f>
        <v>44530</v>
      </c>
      <c r="L3" s="3">
        <f>K3/12</f>
        <v>3710.8333333333335</v>
      </c>
    </row>
    <row r="4" spans="1:12" x14ac:dyDescent="0.25">
      <c r="A4" t="s">
        <v>14</v>
      </c>
      <c r="C4" s="3"/>
      <c r="D4" s="3"/>
      <c r="E4" s="3">
        <f>2*E3</f>
        <v>122000</v>
      </c>
      <c r="F4" s="6">
        <f>F$3</f>
        <v>0.27</v>
      </c>
      <c r="G4" s="3"/>
      <c r="H4" s="6"/>
      <c r="I4" s="35">
        <f>I$3</f>
        <v>3.5000000000000003E-2</v>
      </c>
      <c r="J4" s="3">
        <f>E4/I4</f>
        <v>3485714.2857142854</v>
      </c>
      <c r="K4" s="3">
        <f>J4*I4*(100%-F4)</f>
        <v>89060</v>
      </c>
      <c r="L4" s="3">
        <f>K4/12</f>
        <v>7421.666666666667</v>
      </c>
    </row>
    <row r="6" spans="1:12" x14ac:dyDescent="0.25">
      <c r="A6" t="s">
        <v>15</v>
      </c>
      <c r="B6" s="2">
        <v>49700</v>
      </c>
      <c r="C6" s="3">
        <f>B6*0.92</f>
        <v>45724</v>
      </c>
      <c r="D6" s="3"/>
      <c r="E6" s="3">
        <f>E3</f>
        <v>61000</v>
      </c>
      <c r="F6" s="6">
        <f>F$3</f>
        <v>0.27</v>
      </c>
      <c r="G6" s="3"/>
      <c r="H6" s="6"/>
      <c r="I6" s="35">
        <f>I$3</f>
        <v>3.5000000000000003E-2</v>
      </c>
      <c r="J6" s="3">
        <f>(C6+E6)/I6</f>
        <v>3049257.1428571427</v>
      </c>
      <c r="K6" s="3">
        <f>C6+E6*(100%-F6)</f>
        <v>90254</v>
      </c>
      <c r="L6" s="3">
        <f>K6/12</f>
        <v>7521.166666666667</v>
      </c>
    </row>
    <row r="7" spans="1:12" x14ac:dyDescent="0.25">
      <c r="A7" t="s">
        <v>16</v>
      </c>
      <c r="B7" s="3">
        <f>2*B6</f>
        <v>99400</v>
      </c>
      <c r="C7" s="3">
        <f>2*C6</f>
        <v>91448</v>
      </c>
      <c r="D7" s="3"/>
      <c r="E7" s="3">
        <f>E4</f>
        <v>122000</v>
      </c>
      <c r="F7" s="6">
        <f>F$3</f>
        <v>0.27</v>
      </c>
      <c r="G7" s="3"/>
      <c r="H7" s="6"/>
      <c r="I7" s="35">
        <f>I$3</f>
        <v>3.5000000000000003E-2</v>
      </c>
      <c r="J7" s="3">
        <f>(C7+E7)/I7</f>
        <v>6098514.2857142854</v>
      </c>
      <c r="K7" s="3">
        <f>C7+E7*(100%-F7)</f>
        <v>180508</v>
      </c>
      <c r="L7" s="3">
        <f>K7/12</f>
        <v>15042.333333333334</v>
      </c>
    </row>
    <row r="8" spans="1:12" x14ac:dyDescent="0.25">
      <c r="I8" s="35"/>
    </row>
    <row r="9" spans="1:12" x14ac:dyDescent="0.25">
      <c r="A9" t="s">
        <v>17</v>
      </c>
      <c r="B9" s="3">
        <f>B6</f>
        <v>49700</v>
      </c>
      <c r="C9" s="3">
        <f>B9*0.92</f>
        <v>45724</v>
      </c>
      <c r="D9" s="3"/>
      <c r="E9" s="3">
        <f>E6</f>
        <v>61000</v>
      </c>
      <c r="F9" s="6">
        <f>F$3</f>
        <v>0.27</v>
      </c>
      <c r="G9" s="11">
        <v>25000</v>
      </c>
      <c r="H9" s="5">
        <v>0.42</v>
      </c>
      <c r="I9" s="35">
        <f>I$3</f>
        <v>3.5000000000000003E-2</v>
      </c>
      <c r="J9" s="3">
        <f>(C9+E9+G9)/I9</f>
        <v>3763542.8571428568</v>
      </c>
      <c r="K9" s="3">
        <f>C9+E9*(100%-F9)+G9*(100%-H9)</f>
        <v>104754</v>
      </c>
      <c r="L9" s="3">
        <f>K9/12</f>
        <v>8729.5</v>
      </c>
    </row>
    <row r="10" spans="1:12" x14ac:dyDescent="0.25">
      <c r="A10" t="s">
        <v>18</v>
      </c>
      <c r="B10" s="3">
        <f>2*B6</f>
        <v>99400</v>
      </c>
      <c r="C10" s="3">
        <f>2*C9</f>
        <v>91448</v>
      </c>
      <c r="D10" s="3"/>
      <c r="E10" s="3">
        <f>E7</f>
        <v>122000</v>
      </c>
      <c r="F10" s="6">
        <f>F$3</f>
        <v>0.27</v>
      </c>
      <c r="G10" s="11">
        <v>25000</v>
      </c>
      <c r="H10" s="6">
        <f>H$9</f>
        <v>0.42</v>
      </c>
      <c r="I10" s="35">
        <f>I$3</f>
        <v>3.5000000000000003E-2</v>
      </c>
      <c r="J10" s="3">
        <f>(C10+E10+G10)/I10</f>
        <v>6812799.9999999991</v>
      </c>
      <c r="K10" s="3">
        <f>C10+E10*(100%-F10)+G10*(100%-H10)</f>
        <v>195008</v>
      </c>
      <c r="L10" s="3">
        <f>K10/12</f>
        <v>16250.666666666666</v>
      </c>
    </row>
    <row r="11" spans="1:12" x14ac:dyDescent="0.25">
      <c r="A11" t="s">
        <v>18</v>
      </c>
      <c r="B11" s="3">
        <f>2*B6</f>
        <v>99400</v>
      </c>
      <c r="C11" s="3">
        <f>C10</f>
        <v>91448</v>
      </c>
      <c r="D11" s="3"/>
      <c r="E11" s="3">
        <f>E10</f>
        <v>122000</v>
      </c>
      <c r="F11" s="6">
        <f>F$3</f>
        <v>0.27</v>
      </c>
      <c r="G11" s="11">
        <v>50000</v>
      </c>
      <c r="H11" s="6">
        <f>H$9</f>
        <v>0.42</v>
      </c>
      <c r="I11" s="35">
        <f>I$3</f>
        <v>3.5000000000000003E-2</v>
      </c>
      <c r="J11" s="3">
        <f>(C11+E11+G11)/I11</f>
        <v>7527085.7142857136</v>
      </c>
      <c r="K11" s="3">
        <f>C11+E11*(100%-F11)+G11*(100%-H11)</f>
        <v>209508</v>
      </c>
      <c r="L11" s="3">
        <f>K11/12</f>
        <v>17459</v>
      </c>
    </row>
    <row r="12" spans="1:12" x14ac:dyDescent="0.25">
      <c r="I12" s="35"/>
    </row>
    <row r="13" spans="1:12" x14ac:dyDescent="0.25">
      <c r="A13" t="s">
        <v>17</v>
      </c>
      <c r="B13" s="3">
        <f>B6</f>
        <v>49700</v>
      </c>
      <c r="C13" s="3">
        <f>B13*0.92</f>
        <v>45724</v>
      </c>
      <c r="D13" s="3"/>
      <c r="E13" s="3">
        <f>E9</f>
        <v>61000</v>
      </c>
      <c r="F13" s="6">
        <f>F$3</f>
        <v>0.27</v>
      </c>
      <c r="G13" s="3">
        <v>25000</v>
      </c>
      <c r="H13" s="6">
        <f>H$9</f>
        <v>0.42</v>
      </c>
      <c r="I13" s="33">
        <v>0.04</v>
      </c>
      <c r="J13" s="3">
        <f>(C13+E13+G13)/I13</f>
        <v>3293100</v>
      </c>
      <c r="K13" s="3">
        <f>C13+E13*(100%-F13)+G13*(100%-H13)</f>
        <v>104754</v>
      </c>
      <c r="L13" s="3">
        <f>K13/12</f>
        <v>8729.5</v>
      </c>
    </row>
    <row r="14" spans="1:12" x14ac:dyDescent="0.25">
      <c r="A14" t="s">
        <v>18</v>
      </c>
      <c r="B14" s="3">
        <f>2*B6</f>
        <v>99400</v>
      </c>
      <c r="C14" s="3">
        <f>2*C13</f>
        <v>91448</v>
      </c>
      <c r="D14" s="3"/>
      <c r="E14" s="3">
        <f>E10</f>
        <v>122000</v>
      </c>
      <c r="F14" s="6">
        <f>F$3</f>
        <v>0.27</v>
      </c>
      <c r="G14" s="11">
        <v>25000</v>
      </c>
      <c r="H14" s="6">
        <f>H$9</f>
        <v>0.42</v>
      </c>
      <c r="I14" s="35">
        <f>I$13</f>
        <v>0.04</v>
      </c>
      <c r="J14" s="3">
        <f>(C14+E14+G14)/I14</f>
        <v>5961200</v>
      </c>
      <c r="K14" s="3">
        <f>C14+E14*(100%-F14)+G14*(100%-H14)</f>
        <v>195008</v>
      </c>
      <c r="L14" s="3">
        <f>K14/12</f>
        <v>16250.666666666666</v>
      </c>
    </row>
    <row r="15" spans="1:12" x14ac:dyDescent="0.25">
      <c r="A15" t="s">
        <v>18</v>
      </c>
      <c r="B15" s="3">
        <f>2*B6</f>
        <v>99400</v>
      </c>
      <c r="C15" s="3">
        <f>C14</f>
        <v>91448</v>
      </c>
      <c r="D15" s="3"/>
      <c r="E15" s="3">
        <f>E11</f>
        <v>122000</v>
      </c>
      <c r="F15" s="6">
        <f>F$3</f>
        <v>0.27</v>
      </c>
      <c r="G15" s="11">
        <v>50000</v>
      </c>
      <c r="H15" s="6">
        <f>H$9</f>
        <v>0.42</v>
      </c>
      <c r="I15" s="35">
        <f>I$13</f>
        <v>0.04</v>
      </c>
      <c r="J15" s="3">
        <f>(C15+E15+G15)/I15</f>
        <v>6586200</v>
      </c>
      <c r="K15" s="3">
        <f>C15+E15*(100%-F15)+G15*(100%-H15)</f>
        <v>209508</v>
      </c>
      <c r="L15" s="3">
        <f>K15/12</f>
        <v>17459</v>
      </c>
    </row>
    <row r="16" spans="1:12" x14ac:dyDescent="0.25">
      <c r="I16" s="35"/>
    </row>
    <row r="17" spans="1:12" ht="12" thickBot="1" x14ac:dyDescent="0.3">
      <c r="A17" s="9" t="s">
        <v>19</v>
      </c>
      <c r="B17" s="10"/>
      <c r="C17" s="10"/>
      <c r="D17" s="10"/>
      <c r="E17" s="10"/>
      <c r="F17" s="10"/>
      <c r="G17" s="10"/>
      <c r="H17" s="10"/>
      <c r="I17" s="36"/>
      <c r="J17" s="10"/>
      <c r="K17" s="10"/>
      <c r="L17" s="10"/>
    </row>
    <row r="18" spans="1:12" x14ac:dyDescent="0.25">
      <c r="A18" t="s">
        <v>20</v>
      </c>
      <c r="B18" s="3">
        <f>B6</f>
        <v>49700</v>
      </c>
      <c r="C18" s="3"/>
      <c r="D18" s="3">
        <f>B18</f>
        <v>49700</v>
      </c>
      <c r="E18" s="3">
        <f>E3</f>
        <v>61000</v>
      </c>
      <c r="F18" s="6">
        <f>F$3</f>
        <v>0.27</v>
      </c>
      <c r="G18" s="3"/>
      <c r="H18" s="6"/>
      <c r="I18" s="35">
        <f>I$3</f>
        <v>3.5000000000000003E-2</v>
      </c>
      <c r="J18" s="3">
        <f>(D18+E18)/I18</f>
        <v>3162857.1428571427</v>
      </c>
      <c r="K18" s="3">
        <f>D18+E18*(100%-F18)</f>
        <v>94230</v>
      </c>
      <c r="L18" s="3">
        <f>K18/12</f>
        <v>7852.5</v>
      </c>
    </row>
    <row r="19" spans="1:12" x14ac:dyDescent="0.25">
      <c r="A19" t="s">
        <v>21</v>
      </c>
      <c r="B19" s="3">
        <f>2*B6</f>
        <v>99400</v>
      </c>
      <c r="C19" s="3"/>
      <c r="D19" s="3">
        <f>B19</f>
        <v>99400</v>
      </c>
      <c r="E19" s="3">
        <f>E4</f>
        <v>122000</v>
      </c>
      <c r="F19" s="6">
        <f>F$3</f>
        <v>0.27</v>
      </c>
      <c r="G19" s="3"/>
      <c r="H19" s="6"/>
      <c r="I19" s="35">
        <f>I$3</f>
        <v>3.5000000000000003E-2</v>
      </c>
      <c r="J19" s="3">
        <f>(D19+E19)/I19</f>
        <v>6325714.2857142854</v>
      </c>
      <c r="K19" s="3">
        <f>D19+E19*(100%-F19)</f>
        <v>188460</v>
      </c>
      <c r="L19" s="3">
        <f>K19/12</f>
        <v>15705</v>
      </c>
    </row>
    <row r="20" spans="1:12" x14ac:dyDescent="0.25">
      <c r="I20" s="35"/>
    </row>
    <row r="21" spans="1:12" x14ac:dyDescent="0.25">
      <c r="A21" s="25" t="s">
        <v>22</v>
      </c>
      <c r="B21" s="26">
        <f>B6</f>
        <v>49700</v>
      </c>
      <c r="C21" s="26"/>
      <c r="D21" s="26">
        <f>B21</f>
        <v>49700</v>
      </c>
      <c r="E21" s="26">
        <f>E18</f>
        <v>61000</v>
      </c>
      <c r="F21" s="27">
        <f>F$3</f>
        <v>0.27</v>
      </c>
      <c r="G21" s="11">
        <v>65000</v>
      </c>
      <c r="H21" s="27">
        <f>H$9</f>
        <v>0.42</v>
      </c>
      <c r="I21" s="34">
        <f>I$3</f>
        <v>3.5000000000000003E-2</v>
      </c>
      <c r="J21" s="26">
        <f>(D21+E21+G21)/I21</f>
        <v>5019999.9999999991</v>
      </c>
      <c r="K21" s="26">
        <f>D21+E21*(100%-F21)+G21*(100%-H21)</f>
        <v>131930</v>
      </c>
      <c r="L21" s="26">
        <f>K21/12</f>
        <v>10994.166666666666</v>
      </c>
    </row>
    <row r="22" spans="1:12" x14ac:dyDescent="0.25">
      <c r="A22" t="s">
        <v>23</v>
      </c>
      <c r="B22" s="3">
        <f>2*B6</f>
        <v>99400</v>
      </c>
      <c r="C22" s="3"/>
      <c r="D22" s="3">
        <f>B22</f>
        <v>99400</v>
      </c>
      <c r="E22" s="3">
        <f>E19</f>
        <v>122000</v>
      </c>
      <c r="F22" s="6">
        <f>F$3</f>
        <v>0.27</v>
      </c>
      <c r="G22" s="11">
        <v>50000</v>
      </c>
      <c r="H22" s="6">
        <f>H$9</f>
        <v>0.42</v>
      </c>
      <c r="I22" s="35">
        <f>I$3</f>
        <v>3.5000000000000003E-2</v>
      </c>
      <c r="J22" s="3">
        <f>(D22+E22+G22)/I22</f>
        <v>7754285.7142857136</v>
      </c>
      <c r="K22" s="3">
        <f>D22+E22*(100%-F22)+G22*(100%-H22)</f>
        <v>217460</v>
      </c>
      <c r="L22" s="3">
        <f>K22/12</f>
        <v>18121.666666666668</v>
      </c>
    </row>
    <row r="23" spans="1:12" x14ac:dyDescent="0.25">
      <c r="I23" s="35"/>
    </row>
    <row r="24" spans="1:12" x14ac:dyDescent="0.25">
      <c r="A24" s="14" t="s">
        <v>22</v>
      </c>
      <c r="B24" s="15">
        <f>B6</f>
        <v>49700</v>
      </c>
      <c r="C24" s="15"/>
      <c r="D24" s="15">
        <f>B24</f>
        <v>49700</v>
      </c>
      <c r="E24" s="15">
        <v>61000</v>
      </c>
      <c r="F24" s="16">
        <f>F$3</f>
        <v>0.27</v>
      </c>
      <c r="G24" s="11">
        <v>90000</v>
      </c>
      <c r="H24" s="16">
        <f>H$9</f>
        <v>0.42</v>
      </c>
      <c r="I24" s="37">
        <f>I$13</f>
        <v>0.04</v>
      </c>
      <c r="J24" s="15">
        <f>(D24+E24+G24)/I24</f>
        <v>5017500</v>
      </c>
      <c r="K24" s="15">
        <f>D24+E24*(100%-F24)+G24*(100%-H24)</f>
        <v>146430</v>
      </c>
      <c r="L24" s="15">
        <f>K24/12</f>
        <v>12202.5</v>
      </c>
    </row>
    <row r="25" spans="1:12" x14ac:dyDescent="0.25">
      <c r="A25" t="s">
        <v>23</v>
      </c>
      <c r="B25" s="3">
        <f>2*B6</f>
        <v>99400</v>
      </c>
      <c r="C25" s="3"/>
      <c r="D25" s="3">
        <f>B25</f>
        <v>99400</v>
      </c>
      <c r="E25" s="3">
        <f>E22</f>
        <v>122000</v>
      </c>
      <c r="F25" s="6">
        <f>F$3</f>
        <v>0.27</v>
      </c>
      <c r="G25" s="11">
        <v>50000</v>
      </c>
      <c r="H25" s="6">
        <f>H$9</f>
        <v>0.42</v>
      </c>
      <c r="I25" s="35">
        <f>I$13</f>
        <v>0.04</v>
      </c>
      <c r="J25" s="3">
        <f>(D25+E25+G25)/I25</f>
        <v>6785000</v>
      </c>
      <c r="K25" s="3">
        <f>D25+E25*(100%-F25)+G25*(100%-H25)</f>
        <v>217460</v>
      </c>
      <c r="L25" s="3">
        <f>K25/12</f>
        <v>18121.666666666668</v>
      </c>
    </row>
    <row r="27" spans="1:12" ht="12" thickBot="1" x14ac:dyDescent="0.3">
      <c r="A27" s="9" t="s">
        <v>24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 x14ac:dyDescent="0.25">
      <c r="A28" t="s">
        <v>25</v>
      </c>
    </row>
    <row r="29" spans="1:12" x14ac:dyDescent="0.25">
      <c r="A29" t="s">
        <v>26</v>
      </c>
    </row>
    <row r="31" spans="1:12" x14ac:dyDescent="0.25">
      <c r="A31" t="s">
        <v>27</v>
      </c>
      <c r="B31" s="8" t="s">
        <v>28</v>
      </c>
      <c r="D31" s="8" t="s">
        <v>29</v>
      </c>
      <c r="F31" t="s">
        <v>30</v>
      </c>
    </row>
    <row r="34" spans="4:11" ht="14.5" x14ac:dyDescent="0.35">
      <c r="D34" t="s">
        <v>31</v>
      </c>
      <c r="G34" s="39">
        <f>I$3</f>
        <v>3.5000000000000003E-2</v>
      </c>
      <c r="J34" s="38">
        <f>I$13</f>
        <v>0.04</v>
      </c>
    </row>
    <row r="35" spans="4:11" ht="14.5" x14ac:dyDescent="0.35">
      <c r="D35" t="s">
        <v>32</v>
      </c>
      <c r="G35" s="20">
        <f>B21+E21+G21</f>
        <v>175700</v>
      </c>
      <c r="H35" t="s">
        <v>33</v>
      </c>
      <c r="I35" s="41" t="s">
        <v>34</v>
      </c>
      <c r="J35" s="20">
        <f>B24+E24+G24</f>
        <v>200700</v>
      </c>
      <c r="K35" t="s">
        <v>33</v>
      </c>
    </row>
    <row r="36" spans="4:11" ht="16" x14ac:dyDescent="0.5">
      <c r="D36" t="s">
        <v>35</v>
      </c>
      <c r="F36" s="40" t="s">
        <v>36</v>
      </c>
      <c r="G36" s="24">
        <f>K21</f>
        <v>131930</v>
      </c>
      <c r="H36" t="s">
        <v>33</v>
      </c>
      <c r="I36" s="40" t="s">
        <v>36</v>
      </c>
      <c r="J36" s="24">
        <f>K24</f>
        <v>146430</v>
      </c>
      <c r="K36" t="s">
        <v>33</v>
      </c>
    </row>
    <row r="37" spans="4:11" ht="16" x14ac:dyDescent="0.5">
      <c r="D37" t="s">
        <v>37</v>
      </c>
      <c r="G37" s="23">
        <f>G35-G36</f>
        <v>43770</v>
      </c>
      <c r="H37" t="s">
        <v>33</v>
      </c>
      <c r="I37" s="40" t="s">
        <v>38</v>
      </c>
      <c r="J37" s="23">
        <f>J35-J36</f>
        <v>54270</v>
      </c>
      <c r="K37" t="s">
        <v>33</v>
      </c>
    </row>
    <row r="39" spans="4:11" x14ac:dyDescent="0.25">
      <c r="D39" t="s">
        <v>39</v>
      </c>
      <c r="G39" s="31">
        <f>(G35-G36)/G35</f>
        <v>0.24911781445645986</v>
      </c>
      <c r="J39" s="31">
        <f>(J35-J36)/J35</f>
        <v>0.27040358744394621</v>
      </c>
    </row>
    <row r="41" spans="4:11" x14ac:dyDescent="0.25">
      <c r="D41" s="17" t="s">
        <v>40</v>
      </c>
    </row>
    <row r="44" spans="4:11" x14ac:dyDescent="0.25">
      <c r="D44" s="17" t="s">
        <v>41</v>
      </c>
    </row>
    <row r="45" spans="4:11" x14ac:dyDescent="0.25">
      <c r="D45" s="17"/>
    </row>
    <row r="48" spans="4:11" ht="14.5" x14ac:dyDescent="0.35">
      <c r="D48" t="s">
        <v>42</v>
      </c>
      <c r="J48" s="39">
        <f>I$3</f>
        <v>3.5000000000000003E-2</v>
      </c>
      <c r="K48" s="38">
        <f>I$13</f>
        <v>0.04</v>
      </c>
    </row>
    <row r="49" spans="1:11" ht="14.5" x14ac:dyDescent="0.35">
      <c r="D49" s="18" t="s">
        <v>43</v>
      </c>
      <c r="E49" s="18"/>
      <c r="F49" s="18"/>
      <c r="G49" s="18"/>
      <c r="I49" s="19" t="s">
        <v>34</v>
      </c>
      <c r="J49" s="32">
        <f>L21</f>
        <v>10994.166666666666</v>
      </c>
      <c r="K49" s="20">
        <f>L24</f>
        <v>12202.5</v>
      </c>
    </row>
    <row r="50" spans="1:11" ht="14.5" x14ac:dyDescent="0.35">
      <c r="D50" s="18" t="s">
        <v>44</v>
      </c>
      <c r="E50" s="18"/>
      <c r="F50" s="18"/>
      <c r="G50" s="18"/>
      <c r="I50" s="19" t="s">
        <v>36</v>
      </c>
      <c r="J50" s="28">
        <v>10000</v>
      </c>
      <c r="K50" s="21">
        <v>10000</v>
      </c>
    </row>
    <row r="51" spans="1:11" ht="14.5" x14ac:dyDescent="0.35">
      <c r="D51" s="18" t="s">
        <v>45</v>
      </c>
      <c r="E51" s="18"/>
      <c r="F51" s="18"/>
      <c r="G51" s="18"/>
      <c r="I51" s="19" t="s">
        <v>36</v>
      </c>
      <c r="J51" s="29">
        <v>700</v>
      </c>
      <c r="K51" s="21">
        <v>700</v>
      </c>
    </row>
    <row r="52" spans="1:11" ht="14.5" x14ac:dyDescent="0.35">
      <c r="D52" s="18" t="s">
        <v>46</v>
      </c>
      <c r="E52" s="18"/>
      <c r="F52" s="18"/>
      <c r="G52" s="18"/>
      <c r="I52" s="19" t="s">
        <v>36</v>
      </c>
      <c r="J52" s="29">
        <v>500</v>
      </c>
      <c r="K52" s="21">
        <v>500</v>
      </c>
    </row>
    <row r="53" spans="1:11" ht="16" x14ac:dyDescent="0.5">
      <c r="D53" t="s">
        <v>47</v>
      </c>
      <c r="I53" s="19" t="s">
        <v>36</v>
      </c>
      <c r="J53" s="42">
        <v>1500</v>
      </c>
      <c r="K53" s="22">
        <v>1500</v>
      </c>
    </row>
    <row r="54" spans="1:11" ht="16" x14ac:dyDescent="0.5">
      <c r="D54" s="18" t="s">
        <v>48</v>
      </c>
      <c r="E54" s="18"/>
      <c r="F54" s="18"/>
      <c r="G54" s="18"/>
      <c r="I54" s="19" t="s">
        <v>38</v>
      </c>
      <c r="J54" s="30">
        <f>J49-J50-J51-J52-K53</f>
        <v>-1705.8333333333339</v>
      </c>
      <c r="K54" s="23">
        <f>K49-K50-K51-K52-K53</f>
        <v>-497.5</v>
      </c>
    </row>
    <row r="59" spans="1:11" x14ac:dyDescent="0.25">
      <c r="A59" s="8" t="s">
        <v>49</v>
      </c>
      <c r="E59" t="s">
        <v>50</v>
      </c>
    </row>
    <row r="60" spans="1:11" x14ac:dyDescent="0.25">
      <c r="A60" t="s">
        <v>51</v>
      </c>
      <c r="E60" t="s">
        <v>52</v>
      </c>
    </row>
    <row r="61" spans="1:11" x14ac:dyDescent="0.25">
      <c r="A61" t="s">
        <v>53</v>
      </c>
      <c r="E61" t="s">
        <v>54</v>
      </c>
    </row>
  </sheetData>
  <hyperlinks>
    <hyperlink ref="B31" r:id="rId1" xr:uid="{F4C244A4-EE23-4B08-8D20-B6B7168911DD}"/>
    <hyperlink ref="D31" r:id="rId2" xr:uid="{DB8B0D14-3A2C-4DAC-8D6E-EE0B59E4A651}"/>
    <hyperlink ref="A59" r:id="rId3" xr:uid="{9EA35191-E2C4-480F-80E4-11B1D19C1D4D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A4AC4-AB32-46BA-BE90-D8FC826FCD11}">
  <dimension ref="A1:L36"/>
  <sheetViews>
    <sheetView zoomScale="85" zoomScaleNormal="85" workbookViewId="0">
      <selection activeCell="A27" sqref="A27"/>
    </sheetView>
  </sheetViews>
  <sheetFormatPr defaultRowHeight="11.5" x14ac:dyDescent="0.25"/>
  <cols>
    <col min="1" max="1" width="61.08984375" customWidth="1"/>
    <col min="2" max="2" width="12.36328125" bestFit="1" customWidth="1"/>
    <col min="3" max="3" width="13.7265625" customWidth="1"/>
    <col min="4" max="4" width="14.08984375" customWidth="1"/>
    <col min="5" max="5" width="17.26953125" bestFit="1" customWidth="1"/>
    <col min="6" max="6" width="12.36328125" customWidth="1"/>
    <col min="7" max="7" width="10.26953125" bestFit="1" customWidth="1"/>
    <col min="8" max="8" width="9.6328125" bestFit="1" customWidth="1"/>
    <col min="9" max="9" width="7" customWidth="1"/>
    <col min="10" max="10" width="14.36328125" customWidth="1"/>
    <col min="11" max="11" width="12.08984375" customWidth="1"/>
    <col min="12" max="12" width="11.08984375" customWidth="1"/>
  </cols>
  <sheetData>
    <row r="1" spans="1:12" s="1" customFormat="1" ht="33.75" customHeight="1" x14ac:dyDescent="0.25">
      <c r="B1" s="1" t="s">
        <v>55</v>
      </c>
      <c r="C1" s="1" t="s">
        <v>2</v>
      </c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9</v>
      </c>
      <c r="K1" s="1" t="s">
        <v>10</v>
      </c>
      <c r="L1" s="1" t="s">
        <v>11</v>
      </c>
    </row>
    <row r="2" spans="1:12" ht="12" thickBot="1" x14ac:dyDescent="0.3">
      <c r="A2" s="9" t="s">
        <v>12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x14ac:dyDescent="0.25">
      <c r="A3" t="s">
        <v>62</v>
      </c>
      <c r="B3" s="2">
        <v>46700</v>
      </c>
      <c r="C3" s="3">
        <f>B3*0.92</f>
        <v>42964</v>
      </c>
      <c r="D3" s="3"/>
      <c r="E3" s="2">
        <v>56500</v>
      </c>
      <c r="F3" s="4"/>
      <c r="G3" s="5">
        <v>0.27</v>
      </c>
      <c r="H3" s="5">
        <v>0.42</v>
      </c>
      <c r="I3" s="12">
        <v>0.04</v>
      </c>
      <c r="J3" s="3">
        <f>E3/I3</f>
        <v>1412500</v>
      </c>
      <c r="K3" s="3">
        <f>J3*I3*(100%-G3)</f>
        <v>41245</v>
      </c>
      <c r="L3" s="3">
        <f>K3/12</f>
        <v>3437.0833333333335</v>
      </c>
    </row>
    <row r="4" spans="1:12" x14ac:dyDescent="0.25">
      <c r="A4" t="s">
        <v>63</v>
      </c>
      <c r="B4" s="3">
        <f>2*B3</f>
        <v>93400</v>
      </c>
      <c r="C4" s="3">
        <f>2*C3</f>
        <v>85928</v>
      </c>
      <c r="D4" s="3"/>
      <c r="E4" s="3">
        <f>2*E3</f>
        <v>113000</v>
      </c>
      <c r="F4" s="3"/>
      <c r="G4" s="6">
        <f>G$3</f>
        <v>0.27</v>
      </c>
      <c r="H4" s="6">
        <f>H$3</f>
        <v>0.42</v>
      </c>
      <c r="I4" s="6">
        <f>I$3</f>
        <v>0.04</v>
      </c>
      <c r="J4" s="3">
        <f>E4/I4</f>
        <v>2825000</v>
      </c>
      <c r="K4" s="3">
        <f>J4*I4*(100%-G4)</f>
        <v>82490</v>
      </c>
      <c r="L4" s="3">
        <f>K4/12</f>
        <v>6874.166666666667</v>
      </c>
    </row>
    <row r="6" spans="1:12" x14ac:dyDescent="0.25">
      <c r="A6" t="s">
        <v>64</v>
      </c>
      <c r="B6" s="3">
        <f>$B$3</f>
        <v>46700</v>
      </c>
      <c r="C6" s="3">
        <f>B6*0.92</f>
        <v>42964</v>
      </c>
      <c r="D6" s="3"/>
      <c r="E6" s="3">
        <f>E3</f>
        <v>56500</v>
      </c>
      <c r="F6" s="3"/>
      <c r="G6" s="6">
        <f t="shared" ref="G6:H7" si="0">G$3</f>
        <v>0.27</v>
      </c>
      <c r="H6" s="6">
        <f t="shared" si="0"/>
        <v>0.42</v>
      </c>
      <c r="I6" s="6">
        <f>I$3</f>
        <v>0.04</v>
      </c>
      <c r="J6" s="3">
        <f>(C6+E6)/I6</f>
        <v>2486600</v>
      </c>
      <c r="K6" s="3">
        <f>C6+E6*(100%-G6)</f>
        <v>84209</v>
      </c>
      <c r="L6" s="3">
        <f>K6/12</f>
        <v>7017.416666666667</v>
      </c>
    </row>
    <row r="7" spans="1:12" x14ac:dyDescent="0.25">
      <c r="A7" t="s">
        <v>65</v>
      </c>
      <c r="B7" s="3">
        <f>$B$4</f>
        <v>93400</v>
      </c>
      <c r="C7" s="3">
        <f>2*C6</f>
        <v>85928</v>
      </c>
      <c r="D7" s="3"/>
      <c r="E7" s="3">
        <f>E4</f>
        <v>113000</v>
      </c>
      <c r="F7" s="3"/>
      <c r="G7" s="6">
        <f t="shared" si="0"/>
        <v>0.27</v>
      </c>
      <c r="H7" s="6">
        <f t="shared" si="0"/>
        <v>0.42</v>
      </c>
      <c r="I7" s="6">
        <f>I$3</f>
        <v>0.04</v>
      </c>
      <c r="J7" s="3">
        <f>(C7+E7)/I7</f>
        <v>4973200</v>
      </c>
      <c r="K7" s="3">
        <f>C7+E7*(100%-G7)</f>
        <v>168418</v>
      </c>
      <c r="L7" s="3">
        <f>K7/12</f>
        <v>14034.833333333334</v>
      </c>
    </row>
    <row r="9" spans="1:12" x14ac:dyDescent="0.25">
      <c r="A9" t="s">
        <v>66</v>
      </c>
      <c r="B9" s="3">
        <f>$B$3</f>
        <v>46700</v>
      </c>
      <c r="C9" s="3">
        <f>B9*0.92</f>
        <v>42964</v>
      </c>
      <c r="D9" s="3"/>
      <c r="E9" s="3">
        <f>E6</f>
        <v>56500</v>
      </c>
      <c r="F9" s="11">
        <v>100000</v>
      </c>
      <c r="G9" s="6">
        <f t="shared" ref="G9:H11" si="1">G$3</f>
        <v>0.27</v>
      </c>
      <c r="H9" s="6">
        <f t="shared" si="1"/>
        <v>0.42</v>
      </c>
      <c r="I9" s="6">
        <f>I$3</f>
        <v>0.04</v>
      </c>
      <c r="J9" s="3">
        <f>(C9+E9+F9)/I9</f>
        <v>4986600</v>
      </c>
      <c r="K9" s="3">
        <f>C9+E9*(100%-G9)+F9*(100%-H9)</f>
        <v>142209</v>
      </c>
      <c r="L9" s="3">
        <f>K9/12</f>
        <v>11850.75</v>
      </c>
    </row>
    <row r="10" spans="1:12" x14ac:dyDescent="0.25">
      <c r="A10" t="s">
        <v>67</v>
      </c>
      <c r="B10" s="3">
        <f>$B$4</f>
        <v>93400</v>
      </c>
      <c r="C10" s="3">
        <f>2*C9</f>
        <v>85928</v>
      </c>
      <c r="D10" s="3"/>
      <c r="E10" s="3">
        <f>E7</f>
        <v>113000</v>
      </c>
      <c r="F10" s="11">
        <v>115000</v>
      </c>
      <c r="G10" s="6">
        <f t="shared" si="1"/>
        <v>0.27</v>
      </c>
      <c r="H10" s="6">
        <f t="shared" si="1"/>
        <v>0.42</v>
      </c>
      <c r="I10" s="6">
        <f>I$3</f>
        <v>0.04</v>
      </c>
      <c r="J10" s="3">
        <f>(C10+E10+F10)/I10</f>
        <v>7848200</v>
      </c>
      <c r="K10" s="3">
        <f>C10+E10*(100%-G10)+F10*(100%-H10)</f>
        <v>235118</v>
      </c>
      <c r="L10" s="3">
        <f>K10/12</f>
        <v>19593.166666666668</v>
      </c>
    </row>
    <row r="11" spans="1:12" x14ac:dyDescent="0.25">
      <c r="A11" t="s">
        <v>67</v>
      </c>
      <c r="B11" s="3">
        <f>$B$4</f>
        <v>93400</v>
      </c>
      <c r="C11" s="3">
        <f>C10</f>
        <v>85928</v>
      </c>
      <c r="D11" s="3"/>
      <c r="E11" s="3">
        <f>E10</f>
        <v>113000</v>
      </c>
      <c r="F11" s="11">
        <v>225000</v>
      </c>
      <c r="G11" s="6">
        <f t="shared" si="1"/>
        <v>0.27</v>
      </c>
      <c r="H11" s="6">
        <f t="shared" si="1"/>
        <v>0.42</v>
      </c>
      <c r="I11" s="6">
        <f>I$3</f>
        <v>0.04</v>
      </c>
      <c r="J11" s="3">
        <f>(C11+E11+F11)/I11</f>
        <v>10598200</v>
      </c>
      <c r="K11" s="3">
        <f>C11+E11*(100%-G11)+F11*(100%-H11)</f>
        <v>298918</v>
      </c>
      <c r="L11" s="3">
        <f>K11/12</f>
        <v>24909.833333333332</v>
      </c>
    </row>
    <row r="13" spans="1:12" x14ac:dyDescent="0.25">
      <c r="A13" t="s">
        <v>66</v>
      </c>
      <c r="B13" s="3">
        <f>$B$3</f>
        <v>46700</v>
      </c>
      <c r="C13" s="3">
        <f>B13*0.92</f>
        <v>42964</v>
      </c>
      <c r="D13" s="3"/>
      <c r="E13" s="3">
        <f>E9</f>
        <v>56500</v>
      </c>
      <c r="F13" s="11">
        <v>100000</v>
      </c>
      <c r="G13" s="6">
        <f t="shared" ref="G13:H14" si="2">G$3</f>
        <v>0.27</v>
      </c>
      <c r="H13" s="6">
        <f t="shared" si="2"/>
        <v>0.42</v>
      </c>
      <c r="I13" s="12">
        <v>0.05</v>
      </c>
      <c r="J13" s="3">
        <f>(C13+E13+F13)/I13</f>
        <v>3989280</v>
      </c>
      <c r="K13" s="3">
        <f>C13+E13*(100%-G13)+F13*(100%-H13)</f>
        <v>142209</v>
      </c>
      <c r="L13" s="3">
        <f>K13/12</f>
        <v>11850.75</v>
      </c>
    </row>
    <row r="14" spans="1:12" x14ac:dyDescent="0.25">
      <c r="A14" t="s">
        <v>67</v>
      </c>
      <c r="B14" s="3">
        <f>$B$4</f>
        <v>93400</v>
      </c>
      <c r="C14" s="3">
        <f>2*C13</f>
        <v>85928</v>
      </c>
      <c r="D14" s="3"/>
      <c r="E14" s="3">
        <f>E10</f>
        <v>113000</v>
      </c>
      <c r="F14" s="11">
        <v>200000</v>
      </c>
      <c r="G14" s="6">
        <f t="shared" si="2"/>
        <v>0.27</v>
      </c>
      <c r="H14" s="6">
        <f t="shared" si="2"/>
        <v>0.42</v>
      </c>
      <c r="I14" s="6">
        <f>I13</f>
        <v>0.05</v>
      </c>
      <c r="J14" s="3">
        <f>(C14+E14+F14)/I14</f>
        <v>7978560</v>
      </c>
      <c r="K14" s="3">
        <f>C14+E14*(100%-G14)+F14*(100%-H14)</f>
        <v>284418</v>
      </c>
      <c r="L14" s="3">
        <f>K14/12</f>
        <v>23701.5</v>
      </c>
    </row>
    <row r="15" spans="1:12" x14ac:dyDescent="0.25">
      <c r="A15" t="s">
        <v>67</v>
      </c>
      <c r="B15" s="3">
        <f>$B$4</f>
        <v>93400</v>
      </c>
      <c r="C15" s="3">
        <f>C14</f>
        <v>85928</v>
      </c>
      <c r="D15" s="3"/>
      <c r="E15" s="3">
        <f>E11</f>
        <v>113000</v>
      </c>
      <c r="F15" s="11">
        <v>225000</v>
      </c>
      <c r="G15" s="6">
        <f>G$3</f>
        <v>0.27</v>
      </c>
      <c r="H15" s="6">
        <f>H$3</f>
        <v>0.42</v>
      </c>
      <c r="I15" s="6">
        <f>I13</f>
        <v>0.05</v>
      </c>
      <c r="J15" s="3">
        <f>(C15+E15+F15)/I15</f>
        <v>8478560</v>
      </c>
      <c r="K15" s="3">
        <f>C15+E15*(100%-G15)+F15*(100%-H15)</f>
        <v>298918</v>
      </c>
      <c r="L15" s="3">
        <f>K15/12</f>
        <v>24909.833333333332</v>
      </c>
    </row>
    <row r="17" spans="1:12" ht="12" thickBot="1" x14ac:dyDescent="0.3">
      <c r="A17" s="9" t="s">
        <v>19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x14ac:dyDescent="0.25">
      <c r="A18" t="s">
        <v>68</v>
      </c>
      <c r="B18" s="3">
        <f>$B$3</f>
        <v>46700</v>
      </c>
      <c r="C18" s="3"/>
      <c r="D18" s="3">
        <f>B18</f>
        <v>46700</v>
      </c>
      <c r="E18" s="3">
        <f>E3</f>
        <v>56500</v>
      </c>
      <c r="F18" s="3"/>
      <c r="G18" s="6">
        <f t="shared" ref="G18:H19" si="3">G$3</f>
        <v>0.27</v>
      </c>
      <c r="H18" s="6">
        <f t="shared" si="3"/>
        <v>0.42</v>
      </c>
      <c r="I18" s="6">
        <f>I$3</f>
        <v>0.04</v>
      </c>
      <c r="J18" s="3">
        <f>(D18+E18)/I18</f>
        <v>2580000</v>
      </c>
      <c r="K18" s="3">
        <f>D18+E18*(100%-G18)</f>
        <v>87945</v>
      </c>
      <c r="L18" s="3">
        <f>K18/12</f>
        <v>7328.75</v>
      </c>
    </row>
    <row r="19" spans="1:12" x14ac:dyDescent="0.25">
      <c r="A19" t="s">
        <v>69</v>
      </c>
      <c r="B19" s="3">
        <f>$B$4</f>
        <v>93400</v>
      </c>
      <c r="C19" s="3"/>
      <c r="D19" s="3">
        <f>B19</f>
        <v>93400</v>
      </c>
      <c r="E19" s="3">
        <f>E4</f>
        <v>113000</v>
      </c>
      <c r="F19" s="3"/>
      <c r="G19" s="6">
        <f t="shared" si="3"/>
        <v>0.27</v>
      </c>
      <c r="H19" s="6">
        <f t="shared" si="3"/>
        <v>0.42</v>
      </c>
      <c r="I19" s="6">
        <f>I$3</f>
        <v>0.04</v>
      </c>
      <c r="J19" s="3">
        <f>(D19+E19)/I19</f>
        <v>5160000</v>
      </c>
      <c r="K19" s="3">
        <f>D19+E19*(100%-G19)</f>
        <v>175890</v>
      </c>
      <c r="L19" s="3">
        <f>K19/12</f>
        <v>14657.5</v>
      </c>
    </row>
    <row r="21" spans="1:12" x14ac:dyDescent="0.25">
      <c r="A21" t="s">
        <v>70</v>
      </c>
      <c r="B21" s="3">
        <f>$B$3</f>
        <v>46700</v>
      </c>
      <c r="C21" s="3"/>
      <c r="D21" s="3">
        <f>B21</f>
        <v>46700</v>
      </c>
      <c r="E21" s="3">
        <f>E18</f>
        <v>56500</v>
      </c>
      <c r="F21" s="11">
        <v>100000</v>
      </c>
      <c r="G21" s="6">
        <f t="shared" ref="G21:I22" si="4">G$3</f>
        <v>0.27</v>
      </c>
      <c r="H21" s="6">
        <f t="shared" si="4"/>
        <v>0.42</v>
      </c>
      <c r="I21" s="6">
        <f t="shared" si="4"/>
        <v>0.04</v>
      </c>
      <c r="J21" s="3">
        <f>(D21+E21+F21)/I21</f>
        <v>5080000</v>
      </c>
      <c r="K21" s="3">
        <f>D21+E21*(100%-G21)+F21*(100%-H21)</f>
        <v>145945</v>
      </c>
      <c r="L21" s="3">
        <f>K21/12</f>
        <v>12162.083333333334</v>
      </c>
    </row>
    <row r="22" spans="1:12" x14ac:dyDescent="0.25">
      <c r="A22" t="s">
        <v>71</v>
      </c>
      <c r="B22" s="3">
        <f>$B$4</f>
        <v>93400</v>
      </c>
      <c r="C22" s="3"/>
      <c r="D22" s="3">
        <f>B22</f>
        <v>93400</v>
      </c>
      <c r="E22" s="3">
        <f>E19</f>
        <v>113000</v>
      </c>
      <c r="F22" s="11">
        <v>215000</v>
      </c>
      <c r="G22" s="6">
        <f t="shared" si="4"/>
        <v>0.27</v>
      </c>
      <c r="H22" s="6">
        <f t="shared" si="4"/>
        <v>0.42</v>
      </c>
      <c r="I22" s="6">
        <f t="shared" si="4"/>
        <v>0.04</v>
      </c>
      <c r="J22" s="3">
        <f>(D22+E22+F22)/I22</f>
        <v>10535000</v>
      </c>
      <c r="K22" s="3">
        <f>D22+E22*(100%-G22)+F22*(100%-H22)</f>
        <v>300590</v>
      </c>
      <c r="L22" s="3">
        <f>K22/12</f>
        <v>25049.166666666668</v>
      </c>
    </row>
    <row r="24" spans="1:12" x14ac:dyDescent="0.25">
      <c r="A24" t="s">
        <v>70</v>
      </c>
      <c r="B24" s="3">
        <f>$B$3</f>
        <v>46700</v>
      </c>
      <c r="C24" s="3"/>
      <c r="D24" s="3">
        <f>B24</f>
        <v>46700</v>
      </c>
      <c r="E24" s="3">
        <f>E21</f>
        <v>56500</v>
      </c>
      <c r="F24" s="11">
        <v>100000</v>
      </c>
      <c r="G24" s="6">
        <f t="shared" ref="G24:H25" si="5">G$3</f>
        <v>0.27</v>
      </c>
      <c r="H24" s="6">
        <f t="shared" si="5"/>
        <v>0.42</v>
      </c>
      <c r="I24" s="12">
        <v>0.05</v>
      </c>
      <c r="J24" s="3">
        <f>(D24+E24+F24)/I24</f>
        <v>4064000</v>
      </c>
      <c r="K24" s="3">
        <f>D24+E24*(100%-G24)+F24*(100%-H24)</f>
        <v>145945</v>
      </c>
      <c r="L24" s="3">
        <f>K24/12</f>
        <v>12162.083333333334</v>
      </c>
    </row>
    <row r="25" spans="1:12" x14ac:dyDescent="0.25">
      <c r="A25" t="s">
        <v>71</v>
      </c>
      <c r="B25" s="3">
        <f>$B$4</f>
        <v>93400</v>
      </c>
      <c r="C25" s="3"/>
      <c r="D25" s="3">
        <f>B25</f>
        <v>93400</v>
      </c>
      <c r="E25" s="3">
        <f>E22</f>
        <v>113000</v>
      </c>
      <c r="F25" s="11">
        <v>220000</v>
      </c>
      <c r="G25" s="6">
        <f t="shared" si="5"/>
        <v>0.27</v>
      </c>
      <c r="H25" s="6">
        <f t="shared" si="5"/>
        <v>0.42</v>
      </c>
      <c r="I25" s="6">
        <f>I24</f>
        <v>0.05</v>
      </c>
      <c r="J25" s="3">
        <f>(D25+E25+F25)/I25</f>
        <v>8528000</v>
      </c>
      <c r="K25" s="3">
        <f>D25+E25*(100%-G25)+F25*(100%-H25)</f>
        <v>303490</v>
      </c>
      <c r="L25" s="3">
        <f>K25/12</f>
        <v>25290.833333333332</v>
      </c>
    </row>
    <row r="29" spans="1:12" ht="12" thickBot="1" x14ac:dyDescent="0.3">
      <c r="A29" s="9" t="s">
        <v>24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1:12" x14ac:dyDescent="0.25">
      <c r="A30" t="s">
        <v>72</v>
      </c>
    </row>
    <row r="31" spans="1:12" x14ac:dyDescent="0.25">
      <c r="A31" t="s">
        <v>73</v>
      </c>
    </row>
    <row r="32" spans="1:12" x14ac:dyDescent="0.25">
      <c r="A32" t="s">
        <v>74</v>
      </c>
    </row>
    <row r="33" spans="1:2" x14ac:dyDescent="0.25">
      <c r="A33" t="s">
        <v>75</v>
      </c>
    </row>
    <row r="34" spans="1:2" x14ac:dyDescent="0.25">
      <c r="A34" t="s">
        <v>76</v>
      </c>
    </row>
    <row r="36" spans="1:2" x14ac:dyDescent="0.25">
      <c r="A36" t="s">
        <v>77</v>
      </c>
      <c r="B36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7A7C1-77F7-4C22-B058-19844DB465E8}">
  <dimension ref="A1:K54"/>
  <sheetViews>
    <sheetView workbookViewId="0">
      <selection activeCell="A19" sqref="A19"/>
    </sheetView>
  </sheetViews>
  <sheetFormatPr defaultRowHeight="11.5" x14ac:dyDescent="0.25"/>
  <cols>
    <col min="1" max="1" width="45.36328125" bestFit="1" customWidth="1"/>
    <col min="2" max="2" width="12.36328125" bestFit="1" customWidth="1"/>
    <col min="3" max="3" width="13.08984375" bestFit="1" customWidth="1"/>
    <col min="4" max="4" width="17.26953125" bestFit="1" customWidth="1"/>
    <col min="5" max="5" width="12.08984375" customWidth="1"/>
    <col min="6" max="6" width="10.26953125" bestFit="1" customWidth="1"/>
    <col min="7" max="7" width="9.6328125" bestFit="1" customWidth="1"/>
    <col min="8" max="8" width="6.453125" bestFit="1" customWidth="1"/>
    <col min="9" max="9" width="13.453125" bestFit="1" customWidth="1"/>
    <col min="10" max="10" width="10.90625" bestFit="1" customWidth="1"/>
    <col min="11" max="11" width="9.90625" bestFit="1" customWidth="1"/>
  </cols>
  <sheetData>
    <row r="1" spans="1:11" s="1" customFormat="1" ht="33.75" customHeight="1" x14ac:dyDescent="0.25">
      <c r="B1" s="1" t="s">
        <v>55</v>
      </c>
      <c r="C1" s="1" t="s">
        <v>78</v>
      </c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9</v>
      </c>
      <c r="J1" s="1" t="s">
        <v>10</v>
      </c>
      <c r="K1" s="1" t="s">
        <v>11</v>
      </c>
    </row>
    <row r="2" spans="1:11" x14ac:dyDescent="0.25">
      <c r="A2" t="s">
        <v>62</v>
      </c>
      <c r="B2" s="2">
        <v>46700</v>
      </c>
      <c r="C2" s="3">
        <f>B2*0.92</f>
        <v>42964</v>
      </c>
      <c r="D2" s="2">
        <v>56500</v>
      </c>
      <c r="E2" s="4"/>
      <c r="F2" s="5">
        <v>0.27</v>
      </c>
      <c r="G2" s="5">
        <v>0.42</v>
      </c>
      <c r="H2" s="5">
        <v>0.04</v>
      </c>
      <c r="I2" s="3">
        <f>D2/H2</f>
        <v>1412500</v>
      </c>
      <c r="J2" s="3">
        <f>I2*H2*(100%-F2)</f>
        <v>41245</v>
      </c>
      <c r="K2" s="3">
        <f>J2/12</f>
        <v>3437.0833333333335</v>
      </c>
    </row>
    <row r="3" spans="1:11" x14ac:dyDescent="0.25">
      <c r="A3" t="s">
        <v>63</v>
      </c>
      <c r="B3" s="3">
        <f>2*B2</f>
        <v>93400</v>
      </c>
      <c r="C3" s="3">
        <f>2*C2</f>
        <v>85928</v>
      </c>
      <c r="D3" s="3">
        <f>2*D2</f>
        <v>113000</v>
      </c>
      <c r="E3" s="3"/>
      <c r="F3" s="6">
        <f>F$2</f>
        <v>0.27</v>
      </c>
      <c r="G3" s="6">
        <f>G$2</f>
        <v>0.42</v>
      </c>
      <c r="H3" s="6">
        <f>H$2</f>
        <v>0.04</v>
      </c>
      <c r="I3" s="3">
        <f>D3/H3</f>
        <v>2825000</v>
      </c>
      <c r="J3" s="3">
        <f>I3*H3*(100%-F3)</f>
        <v>82490</v>
      </c>
      <c r="K3" s="3">
        <f>J3/12</f>
        <v>6874.166666666667</v>
      </c>
    </row>
    <row r="5" spans="1:11" x14ac:dyDescent="0.25">
      <c r="A5" t="s">
        <v>79</v>
      </c>
      <c r="B5" s="3">
        <f>$B$2</f>
        <v>46700</v>
      </c>
      <c r="C5" s="3">
        <f>B5*0.92</f>
        <v>42964</v>
      </c>
      <c r="D5" s="3">
        <f>D2</f>
        <v>56500</v>
      </c>
      <c r="E5" s="3"/>
      <c r="F5" s="6">
        <f t="shared" ref="F5:G6" si="0">F$2</f>
        <v>0.27</v>
      </c>
      <c r="G5" s="6">
        <f t="shared" si="0"/>
        <v>0.42</v>
      </c>
      <c r="H5" s="6">
        <f>H$2</f>
        <v>0.04</v>
      </c>
      <c r="I5" s="3">
        <f>(C5+D5)/H5</f>
        <v>2486600</v>
      </c>
      <c r="J5" s="3">
        <f>C5+D5*(100%-F5)</f>
        <v>84209</v>
      </c>
      <c r="K5" s="3">
        <f>J5/12</f>
        <v>7017.416666666667</v>
      </c>
    </row>
    <row r="6" spans="1:11" x14ac:dyDescent="0.25">
      <c r="A6" t="s">
        <v>80</v>
      </c>
      <c r="B6" s="3">
        <f>$B$3</f>
        <v>93400</v>
      </c>
      <c r="C6" s="3">
        <f>2*C5</f>
        <v>85928</v>
      </c>
      <c r="D6" s="3">
        <f>D3</f>
        <v>113000</v>
      </c>
      <c r="E6" s="3"/>
      <c r="F6" s="6">
        <f t="shared" si="0"/>
        <v>0.27</v>
      </c>
      <c r="G6" s="6">
        <f t="shared" si="0"/>
        <v>0.42</v>
      </c>
      <c r="H6" s="6">
        <f>H$2</f>
        <v>0.04</v>
      </c>
      <c r="I6" s="3">
        <f>(C6+D6)/H6</f>
        <v>4973200</v>
      </c>
      <c r="J6" s="3">
        <f>C6+D6*(100%-F6)</f>
        <v>168418</v>
      </c>
      <c r="K6" s="3">
        <f>J6/12</f>
        <v>14034.833333333334</v>
      </c>
    </row>
    <row r="8" spans="1:11" x14ac:dyDescent="0.25">
      <c r="A8" t="s">
        <v>81</v>
      </c>
      <c r="B8" s="3">
        <f>$B$2</f>
        <v>46700</v>
      </c>
      <c r="C8" s="3">
        <f>B8*0.92</f>
        <v>42964</v>
      </c>
      <c r="D8" s="3">
        <f>D5</f>
        <v>56500</v>
      </c>
      <c r="E8" s="7">
        <v>100000</v>
      </c>
      <c r="F8" s="6">
        <f t="shared" ref="F8:G10" si="1">F$2</f>
        <v>0.27</v>
      </c>
      <c r="G8" s="6">
        <f t="shared" si="1"/>
        <v>0.42</v>
      </c>
      <c r="H8" s="6">
        <f>H$2</f>
        <v>0.04</v>
      </c>
      <c r="I8" s="3">
        <f>(C8+D8+E8)/H8</f>
        <v>4986600</v>
      </c>
      <c r="J8" s="3">
        <f>C8+D8*(100%-F8)+E8*(100%-G8)</f>
        <v>142209</v>
      </c>
      <c r="K8" s="3">
        <f>J8/12</f>
        <v>11850.75</v>
      </c>
    </row>
    <row r="9" spans="1:11" x14ac:dyDescent="0.25">
      <c r="A9" t="s">
        <v>82</v>
      </c>
      <c r="B9" s="3">
        <f>$B$3</f>
        <v>93400</v>
      </c>
      <c r="C9" s="3">
        <f>2*C8</f>
        <v>85928</v>
      </c>
      <c r="D9" s="3">
        <f>D6</f>
        <v>113000</v>
      </c>
      <c r="E9" s="7">
        <v>115000</v>
      </c>
      <c r="F9" s="6">
        <f t="shared" si="1"/>
        <v>0.27</v>
      </c>
      <c r="G9" s="6">
        <f t="shared" si="1"/>
        <v>0.42</v>
      </c>
      <c r="H9" s="6">
        <f>H$2</f>
        <v>0.04</v>
      </c>
      <c r="I9" s="3">
        <f>(C9+D9+E9)/H9</f>
        <v>7848200</v>
      </c>
      <c r="J9" s="3">
        <f>C9+D9*(100%-F9)+E9*(100%-G9)</f>
        <v>235118</v>
      </c>
      <c r="K9" s="3">
        <f>J9/12</f>
        <v>19593.166666666668</v>
      </c>
    </row>
    <row r="10" spans="1:11" x14ac:dyDescent="0.25">
      <c r="A10" t="s">
        <v>82</v>
      </c>
      <c r="B10" s="3">
        <f>$B$3</f>
        <v>93400</v>
      </c>
      <c r="C10" s="3">
        <f>C9</f>
        <v>85928</v>
      </c>
      <c r="D10" s="3">
        <f>D9</f>
        <v>113000</v>
      </c>
      <c r="E10" s="7">
        <v>225000</v>
      </c>
      <c r="F10" s="6">
        <f t="shared" si="1"/>
        <v>0.27</v>
      </c>
      <c r="G10" s="6">
        <f t="shared" si="1"/>
        <v>0.42</v>
      </c>
      <c r="H10" s="6">
        <f>H$2</f>
        <v>0.04</v>
      </c>
      <c r="I10" s="3">
        <f>(C10+D10+E10)/H10</f>
        <v>10598200</v>
      </c>
      <c r="J10" s="3">
        <f>C10+D10*(100%-F10)+E10*(100%-G10)</f>
        <v>298918</v>
      </c>
      <c r="K10" s="3">
        <f>J10/12</f>
        <v>24909.833333333332</v>
      </c>
    </row>
    <row r="12" spans="1:11" x14ac:dyDescent="0.25">
      <c r="A12" t="s">
        <v>81</v>
      </c>
      <c r="B12" s="3">
        <f>$B$2</f>
        <v>46700</v>
      </c>
      <c r="C12" s="3">
        <f>B12*0.92</f>
        <v>42964</v>
      </c>
      <c r="D12" s="3">
        <f>D8</f>
        <v>56500</v>
      </c>
      <c r="E12" s="7">
        <v>100000</v>
      </c>
      <c r="F12" s="6">
        <f t="shared" ref="F12:G13" si="2">F$2</f>
        <v>0.27</v>
      </c>
      <c r="G12" s="6">
        <f t="shared" si="2"/>
        <v>0.42</v>
      </c>
      <c r="H12" s="5">
        <v>0.05</v>
      </c>
      <c r="I12" s="3">
        <f>(C12+D12+E12)/H12</f>
        <v>3989280</v>
      </c>
      <c r="J12" s="3">
        <f>C12+D12*(100%-F12)+E12*(100%-G12)</f>
        <v>142209</v>
      </c>
      <c r="K12" s="3">
        <f>J12/12</f>
        <v>11850.75</v>
      </c>
    </row>
    <row r="13" spans="1:11" x14ac:dyDescent="0.25">
      <c r="A13" t="s">
        <v>82</v>
      </c>
      <c r="B13" s="3">
        <f>$B$3</f>
        <v>93400</v>
      </c>
      <c r="C13" s="3">
        <f>2*C12</f>
        <v>85928</v>
      </c>
      <c r="D13" s="3">
        <f>D9</f>
        <v>113000</v>
      </c>
      <c r="E13" s="7">
        <v>200000</v>
      </c>
      <c r="F13" s="6">
        <f t="shared" si="2"/>
        <v>0.27</v>
      </c>
      <c r="G13" s="6">
        <f t="shared" si="2"/>
        <v>0.42</v>
      </c>
      <c r="H13" s="6">
        <f>H12</f>
        <v>0.05</v>
      </c>
      <c r="I13" s="3">
        <f>(C13+D13+E13)/H13</f>
        <v>7978560</v>
      </c>
      <c r="J13" s="3">
        <f>C13+D13*(100%-F13)+E13*(100%-G13)</f>
        <v>284418</v>
      </c>
      <c r="K13" s="3">
        <f>J13/12</f>
        <v>23701.5</v>
      </c>
    </row>
    <row r="14" spans="1:11" x14ac:dyDescent="0.25">
      <c r="A14" t="s">
        <v>82</v>
      </c>
      <c r="B14" s="3">
        <f>$B$3</f>
        <v>93400</v>
      </c>
      <c r="C14" s="3">
        <f>C13</f>
        <v>85928</v>
      </c>
      <c r="D14" s="3">
        <f>D10</f>
        <v>113000</v>
      </c>
      <c r="E14" s="7">
        <v>225000</v>
      </c>
      <c r="F14" s="6">
        <f>F$2</f>
        <v>0.27</v>
      </c>
      <c r="G14" s="6">
        <f>G$2</f>
        <v>0.42</v>
      </c>
      <c r="H14" s="6">
        <f>H12</f>
        <v>0.05</v>
      </c>
      <c r="I14" s="3">
        <f>(C14+D14+E14)/H14</f>
        <v>8478560</v>
      </c>
      <c r="J14" s="3">
        <f>C14+D14*(100%-F14)+E14*(100%-G14)</f>
        <v>298918</v>
      </c>
      <c r="K14" s="3">
        <f>J14/12</f>
        <v>24909.833333333332</v>
      </c>
    </row>
    <row r="17" spans="1:2" x14ac:dyDescent="0.25">
      <c r="A17" t="s">
        <v>83</v>
      </c>
    </row>
    <row r="22" spans="1:2" x14ac:dyDescent="0.25">
      <c r="A22" t="s">
        <v>84</v>
      </c>
      <c r="B22" s="8" t="s">
        <v>85</v>
      </c>
    </row>
    <row r="54" spans="1:1" x14ac:dyDescent="0.25">
      <c r="A54" t="s">
        <v>86</v>
      </c>
    </row>
  </sheetData>
  <hyperlinks>
    <hyperlink ref="B22" r:id="rId1" xr:uid="{D036DA50-9F98-4F3C-9EEE-CBB955BF2409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FIRE efter skat ver. 2.1</vt:lpstr>
      <vt:lpstr>FIRE efter skat ver. 2.0</vt:lpstr>
      <vt:lpstr>FIRE efter skat ver. 1.0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Jonas Niebling</dc:creator>
  <cp:keywords/>
  <dc:description/>
  <cp:lastModifiedBy>Klaus Kristensen</cp:lastModifiedBy>
  <cp:revision/>
  <dcterms:created xsi:type="dcterms:W3CDTF">2021-11-02T19:19:50Z</dcterms:created>
  <dcterms:modified xsi:type="dcterms:W3CDTF">2024-09-27T14:17:58Z</dcterms:modified>
  <cp:category/>
  <cp:contentStatus/>
</cp:coreProperties>
</file>